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3040" windowHeight="9360" activeTab="4"/>
  </bookViews>
  <sheets>
    <sheet name="报价" sheetId="1" r:id="rId1"/>
    <sheet name="价差报价模拟" sheetId="2" r:id="rId2"/>
    <sheet name="价差竞价曲线" sheetId="3" r:id="rId3"/>
    <sheet name="价格报价模拟" sheetId="4" r:id="rId4"/>
    <sheet name="竞价曲线" sheetId="5" r:id="rId5"/>
  </sheets>
  <calcPr calcId="152511"/>
  <pivotCaches>
    <pivotCache cacheId="0" r:id="rId6"/>
    <pivotCache cacheId="1" r:id="rId7"/>
    <pivotCache cacheId="2" r:id="rId8"/>
    <pivotCache cacheId="3" r:id="rId9"/>
  </pivotCaches>
</workbook>
</file>

<file path=xl/calcChain.xml><?xml version="1.0" encoding="utf-8"?>
<calcChain xmlns="http://schemas.openxmlformats.org/spreadsheetml/2006/main">
  <c r="N14" i="2" l="1"/>
  <c r="N8" i="2"/>
  <c r="N6" i="2"/>
  <c r="N4" i="2"/>
  <c r="L14" i="2"/>
  <c r="L12" i="2"/>
  <c r="L10" i="2"/>
  <c r="L8" i="2"/>
  <c r="L6" i="2"/>
  <c r="L4" i="2"/>
  <c r="N15" i="2"/>
  <c r="N13" i="2"/>
  <c r="N11" i="2"/>
  <c r="N9" i="2"/>
  <c r="N7" i="2"/>
  <c r="N5" i="2"/>
  <c r="N3" i="2"/>
  <c r="L15" i="2"/>
  <c r="L13" i="2"/>
  <c r="L11" i="2"/>
  <c r="L9" i="2"/>
  <c r="L7" i="2"/>
  <c r="L5" i="2"/>
  <c r="L3" i="2"/>
  <c r="N10" i="2" l="1"/>
  <c r="M16" i="4"/>
  <c r="M17" i="4" s="1"/>
  <c r="M14" i="4"/>
  <c r="M15" i="4" s="1"/>
  <c r="M13" i="4"/>
  <c r="M12" i="4"/>
  <c r="M10" i="4"/>
  <c r="M11" i="4" s="1"/>
  <c r="M8" i="4"/>
  <c r="M9" i="4" s="1"/>
  <c r="M6" i="4"/>
  <c r="M7" i="4" s="1"/>
  <c r="M4" i="4"/>
  <c r="M5" i="4" s="1"/>
  <c r="M2" i="4"/>
  <c r="M3" i="4" s="1"/>
  <c r="K17" i="4"/>
  <c r="K16" i="4"/>
  <c r="K15" i="4"/>
  <c r="K14" i="4"/>
  <c r="K12" i="4"/>
  <c r="K13" i="4" s="1"/>
  <c r="K11" i="4"/>
  <c r="K10" i="4"/>
  <c r="K8" i="4"/>
  <c r="K9" i="4" s="1"/>
  <c r="K7" i="4"/>
  <c r="K6" i="4"/>
  <c r="K4" i="4"/>
  <c r="K5" i="4" s="1"/>
  <c r="K3" i="4"/>
  <c r="K2" i="4"/>
  <c r="L3" i="4"/>
  <c r="J3" i="4"/>
  <c r="N12" i="2" l="1"/>
  <c r="J4" i="4"/>
  <c r="L4" i="4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L2" i="2"/>
  <c r="J5" i="4"/>
  <c r="L5" i="4"/>
  <c r="L6" i="4" l="1"/>
  <c r="J6" i="4"/>
  <c r="L7" i="4"/>
  <c r="J7" i="4"/>
  <c r="J8" i="4" l="1"/>
  <c r="L8" i="4"/>
  <c r="L9" i="4"/>
  <c r="J9" i="4"/>
  <c r="J10" i="4" l="1"/>
  <c r="L10" i="4"/>
  <c r="J11" i="4"/>
  <c r="L11" i="4"/>
  <c r="L12" i="4" l="1"/>
  <c r="J12" i="4"/>
  <c r="J13" i="4"/>
  <c r="L13" i="4"/>
  <c r="L14" i="4" l="1"/>
  <c r="J14" i="4"/>
  <c r="J15" i="4"/>
  <c r="L15" i="4"/>
  <c r="L16" i="4" l="1"/>
  <c r="J16" i="4"/>
  <c r="J17" i="4"/>
  <c r="L17" i="4"/>
</calcChain>
</file>

<file path=xl/sharedStrings.xml><?xml version="1.0" encoding="utf-8"?>
<sst xmlns="http://schemas.openxmlformats.org/spreadsheetml/2006/main" count="138" uniqueCount="68">
  <si>
    <t>电厂名称</t>
    <phoneticPr fontId="1" type="noConversion"/>
  </si>
  <si>
    <t>电量</t>
    <phoneticPr fontId="1" type="noConversion"/>
  </si>
  <si>
    <t>电价</t>
    <phoneticPr fontId="1" type="noConversion"/>
  </si>
  <si>
    <t>电厂1</t>
    <phoneticPr fontId="1" type="noConversion"/>
  </si>
  <si>
    <t>段1</t>
    <phoneticPr fontId="1" type="noConversion"/>
  </si>
  <si>
    <t>段2</t>
  </si>
  <si>
    <t>段3</t>
  </si>
  <si>
    <t>电厂2</t>
    <phoneticPr fontId="1" type="noConversion"/>
  </si>
  <si>
    <t>电厂3</t>
    <phoneticPr fontId="1" type="noConversion"/>
  </si>
  <si>
    <t>段1</t>
    <phoneticPr fontId="1" type="noConversion"/>
  </si>
  <si>
    <t>用户名称</t>
    <phoneticPr fontId="1" type="noConversion"/>
  </si>
  <si>
    <t>用户1</t>
    <phoneticPr fontId="1" type="noConversion"/>
  </si>
  <si>
    <t>用户2</t>
    <phoneticPr fontId="1" type="noConversion"/>
  </si>
  <si>
    <t>电厂名称</t>
    <phoneticPr fontId="1" type="noConversion"/>
  </si>
  <si>
    <t>电量</t>
    <phoneticPr fontId="1" type="noConversion"/>
  </si>
  <si>
    <t>电价</t>
    <phoneticPr fontId="1" type="noConversion"/>
  </si>
  <si>
    <t>电价</t>
    <phoneticPr fontId="1" type="noConversion"/>
  </si>
  <si>
    <t>电厂电价</t>
    <phoneticPr fontId="1" type="noConversion"/>
  </si>
  <si>
    <t>电厂电量</t>
    <phoneticPr fontId="1" type="noConversion"/>
  </si>
  <si>
    <t>电厂电量</t>
    <phoneticPr fontId="1" type="noConversion"/>
  </si>
  <si>
    <t>用户电量</t>
    <phoneticPr fontId="1" type="noConversion"/>
  </si>
  <si>
    <t>用户电价</t>
    <phoneticPr fontId="1" type="noConversion"/>
  </si>
  <si>
    <t>行标签</t>
  </si>
  <si>
    <t>求和项:电量</t>
  </si>
  <si>
    <t>电厂1</t>
    <phoneticPr fontId="1" type="noConversion"/>
  </si>
  <si>
    <t>电厂2</t>
    <phoneticPr fontId="1" type="noConversion"/>
  </si>
  <si>
    <t>段1</t>
    <phoneticPr fontId="1" type="noConversion"/>
  </si>
  <si>
    <t>电厂3</t>
    <phoneticPr fontId="1" type="noConversion"/>
  </si>
  <si>
    <t>(空白)</t>
  </si>
  <si>
    <t>总计</t>
  </si>
  <si>
    <t>用户名称</t>
    <phoneticPr fontId="1" type="noConversion"/>
  </si>
  <si>
    <t>电量</t>
    <phoneticPr fontId="1" type="noConversion"/>
  </si>
  <si>
    <t>电价</t>
    <phoneticPr fontId="1" type="noConversion"/>
  </si>
  <si>
    <t>用户1</t>
    <phoneticPr fontId="1" type="noConversion"/>
  </si>
  <si>
    <t>用户2</t>
    <phoneticPr fontId="1" type="noConversion"/>
  </si>
  <si>
    <t>电价</t>
    <phoneticPr fontId="1" type="noConversion"/>
  </si>
  <si>
    <t>电量</t>
    <phoneticPr fontId="1" type="noConversion"/>
  </si>
  <si>
    <t>用户名称</t>
    <phoneticPr fontId="1" type="noConversion"/>
  </si>
  <si>
    <t>电厂名称</t>
    <phoneticPr fontId="1" type="noConversion"/>
  </si>
  <si>
    <t>用户电价</t>
    <phoneticPr fontId="1" type="noConversion"/>
  </si>
  <si>
    <t>用户电量</t>
    <phoneticPr fontId="1" type="noConversion"/>
  </si>
  <si>
    <t>电厂电价</t>
    <phoneticPr fontId="1" type="noConversion"/>
  </si>
  <si>
    <t>电厂电量</t>
    <phoneticPr fontId="1" type="noConversion"/>
  </si>
  <si>
    <t>电厂1</t>
    <phoneticPr fontId="1" type="noConversion"/>
  </si>
  <si>
    <t>电厂2</t>
  </si>
  <si>
    <t>电厂3</t>
  </si>
  <si>
    <t>电厂4</t>
  </si>
  <si>
    <t>电厂5</t>
  </si>
  <si>
    <t>电厂6</t>
  </si>
  <si>
    <t>电厂7</t>
  </si>
  <si>
    <t>电厂8</t>
  </si>
  <si>
    <t>电厂9</t>
  </si>
  <si>
    <t>电厂1</t>
    <phoneticPr fontId="1" type="noConversion"/>
  </si>
  <si>
    <t>用户2</t>
  </si>
  <si>
    <t>用户3</t>
  </si>
  <si>
    <t>用户4</t>
  </si>
  <si>
    <t>用户5</t>
  </si>
  <si>
    <t>用户6</t>
  </si>
  <si>
    <t>用户7</t>
  </si>
  <si>
    <t>用户8</t>
  </si>
  <si>
    <t>用户9</t>
  </si>
  <si>
    <t>用户1</t>
  </si>
  <si>
    <t>用户3</t>
    <phoneticPr fontId="1" type="noConversion"/>
  </si>
  <si>
    <t>用户3</t>
    <phoneticPr fontId="1" type="noConversion"/>
  </si>
  <si>
    <t>模拟集中竞价数据表（价格）</t>
    <phoneticPr fontId="1" type="noConversion"/>
  </si>
  <si>
    <t>模拟集中竞价数据表（价差）</t>
    <phoneticPr fontId="1" type="noConversion"/>
  </si>
  <si>
    <t>成交电量</t>
    <phoneticPr fontId="1" type="noConversion"/>
  </si>
  <si>
    <t>边际出清价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</si>
</sst>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NumberForma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0" fillId="0" borderId="0" xfId="0" applyAlignment="1">
      <alignment horizontal="left"/>
    </xf>
    <xf numFmtId="0" fontId="0" fillId="0" borderId="0" xfId="0" pivotButton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3.9552329037759099E-2"/>
          <c:y val="8.7178424660672799E-2"/>
          <c:w val="0.93463315368575106"/>
          <c:h val="0.8355132132439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价差报价模拟!$M$1</c:f>
              <c:strCache>
                <c:ptCount val="1"/>
                <c:pt idx="0">
                  <c:v>电厂电价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价差报价模拟!$L$2:$L$15</c:f>
              <c:numCache>
                <c:formatCode>General</c:formatCode>
                <c:ptCount val="14"/>
                <c:pt idx="0">
                  <c:v>0</c:v>
                </c:pt>
                <c:pt idx="1">
                  <c:v>1000</c:v>
                </c:pt>
                <c:pt idx="2">
                  <c:v>1000</c:v>
                </c:pt>
                <c:pt idx="3">
                  <c:v>3000</c:v>
                </c:pt>
                <c:pt idx="4">
                  <c:v>3000</c:v>
                </c:pt>
                <c:pt idx="5">
                  <c:v>4300</c:v>
                </c:pt>
                <c:pt idx="6">
                  <c:v>4300</c:v>
                </c:pt>
                <c:pt idx="7">
                  <c:v>6400</c:v>
                </c:pt>
                <c:pt idx="8">
                  <c:v>6400</c:v>
                </c:pt>
                <c:pt idx="9">
                  <c:v>7400</c:v>
                </c:pt>
                <c:pt idx="10">
                  <c:v>7400</c:v>
                </c:pt>
                <c:pt idx="11">
                  <c:v>8900</c:v>
                </c:pt>
                <c:pt idx="12">
                  <c:v>8900</c:v>
                </c:pt>
                <c:pt idx="13">
                  <c:v>10900</c:v>
                </c:pt>
              </c:numCache>
            </c:numRef>
          </c:xVal>
          <c:yVal>
            <c:numRef>
              <c:f>价差报价模拟!$M$2:$M$15</c:f>
              <c:numCache>
                <c:formatCode>General</c:formatCode>
                <c:ptCount val="14"/>
                <c:pt idx="0">
                  <c:v>-35</c:v>
                </c:pt>
                <c:pt idx="1">
                  <c:v>-35</c:v>
                </c:pt>
                <c:pt idx="2">
                  <c:v>-30</c:v>
                </c:pt>
                <c:pt idx="3">
                  <c:v>-30</c:v>
                </c:pt>
                <c:pt idx="4">
                  <c:v>-20</c:v>
                </c:pt>
                <c:pt idx="5">
                  <c:v>-20</c:v>
                </c:pt>
                <c:pt idx="6">
                  <c:v>-18</c:v>
                </c:pt>
                <c:pt idx="7">
                  <c:v>-18</c:v>
                </c:pt>
                <c:pt idx="8">
                  <c:v>-15</c:v>
                </c:pt>
                <c:pt idx="9">
                  <c:v>-15</c:v>
                </c:pt>
                <c:pt idx="10">
                  <c:v>-10</c:v>
                </c:pt>
                <c:pt idx="11">
                  <c:v>-10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价差报价模拟!$O$1</c:f>
              <c:strCache>
                <c:ptCount val="1"/>
                <c:pt idx="0">
                  <c:v>用户电价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价差报价模拟!$N$2:$N$15</c:f>
              <c:numCache>
                <c:formatCode>General</c:formatCode>
                <c:ptCount val="14"/>
                <c:pt idx="0">
                  <c:v>0</c:v>
                </c:pt>
                <c:pt idx="1">
                  <c:v>600</c:v>
                </c:pt>
                <c:pt idx="2">
                  <c:v>600</c:v>
                </c:pt>
                <c:pt idx="3">
                  <c:v>1600</c:v>
                </c:pt>
                <c:pt idx="4">
                  <c:v>1600</c:v>
                </c:pt>
                <c:pt idx="5">
                  <c:v>4100</c:v>
                </c:pt>
                <c:pt idx="6">
                  <c:v>4100</c:v>
                </c:pt>
                <c:pt idx="7">
                  <c:v>4800</c:v>
                </c:pt>
                <c:pt idx="8">
                  <c:v>4800</c:v>
                </c:pt>
                <c:pt idx="9">
                  <c:v>5300</c:v>
                </c:pt>
                <c:pt idx="10">
                  <c:v>5300</c:v>
                </c:pt>
                <c:pt idx="11">
                  <c:v>6100</c:v>
                </c:pt>
                <c:pt idx="12">
                  <c:v>6100</c:v>
                </c:pt>
                <c:pt idx="13">
                  <c:v>9400</c:v>
                </c:pt>
              </c:numCache>
            </c:numRef>
          </c:xVal>
          <c:yVal>
            <c:numRef>
              <c:f>价差报价模拟!$O$2:$O$15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-2</c:v>
                </c:pt>
                <c:pt idx="4">
                  <c:v>-3</c:v>
                </c:pt>
                <c:pt idx="5">
                  <c:v>-3</c:v>
                </c:pt>
                <c:pt idx="6">
                  <c:v>-5</c:v>
                </c:pt>
                <c:pt idx="7">
                  <c:v>-5</c:v>
                </c:pt>
                <c:pt idx="8">
                  <c:v>-7</c:v>
                </c:pt>
                <c:pt idx="9">
                  <c:v>-7</c:v>
                </c:pt>
                <c:pt idx="10">
                  <c:v>-8</c:v>
                </c:pt>
                <c:pt idx="11">
                  <c:v>-8</c:v>
                </c:pt>
                <c:pt idx="12">
                  <c:v>-10</c:v>
                </c:pt>
                <c:pt idx="13">
                  <c:v>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5924864"/>
        <c:axId val="-1765915616"/>
      </c:scatterChart>
      <c:valAx>
        <c:axId val="-176592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765915616"/>
        <c:crosses val="autoZero"/>
        <c:crossBetween val="midCat"/>
      </c:valAx>
      <c:valAx>
        <c:axId val="-176591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765924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/>
              <a:t>竞价曲线</a:t>
            </a:r>
            <a:endParaRPr lang="en-US"/>
          </a:p>
          <a:p>
            <a:pPr>
              <a:defRPr/>
            </a:pPr>
            <a:endParaRPr 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3.7815458070083421E-2"/>
          <c:y val="0.15330448624374785"/>
          <c:w val="0.94562186681875549"/>
          <c:h val="0.83293844182173049"/>
        </c:manualLayout>
      </c:layout>
      <c:scatterChart>
        <c:scatterStyle val="lineMarker"/>
        <c:varyColors val="0"/>
        <c:ser>
          <c:idx val="0"/>
          <c:order val="0"/>
          <c:tx>
            <c:strRef>
              <c:f>价格报价模拟!$K$1</c:f>
              <c:strCache>
                <c:ptCount val="1"/>
                <c:pt idx="0">
                  <c:v>电厂电价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价格报价模拟!$J$2:$J$30</c:f>
              <c:numCache>
                <c:formatCode>General</c:formatCode>
                <c:ptCount val="29"/>
                <c:pt idx="0">
                  <c:v>0</c:v>
                </c:pt>
                <c:pt idx="1">
                  <c:v>2000</c:v>
                </c:pt>
                <c:pt idx="2">
                  <c:v>2000</c:v>
                </c:pt>
                <c:pt idx="3">
                  <c:v>2800</c:v>
                </c:pt>
                <c:pt idx="4">
                  <c:v>2800</c:v>
                </c:pt>
                <c:pt idx="5">
                  <c:v>3800</c:v>
                </c:pt>
                <c:pt idx="6">
                  <c:v>3800</c:v>
                </c:pt>
                <c:pt idx="7">
                  <c:v>5100</c:v>
                </c:pt>
                <c:pt idx="8">
                  <c:v>5100</c:v>
                </c:pt>
                <c:pt idx="9">
                  <c:v>6400</c:v>
                </c:pt>
                <c:pt idx="10">
                  <c:v>6400</c:v>
                </c:pt>
                <c:pt idx="11">
                  <c:v>9400</c:v>
                </c:pt>
                <c:pt idx="12">
                  <c:v>9400</c:v>
                </c:pt>
                <c:pt idx="13">
                  <c:v>9900</c:v>
                </c:pt>
                <c:pt idx="14">
                  <c:v>9900</c:v>
                </c:pt>
                <c:pt idx="15">
                  <c:v>10900</c:v>
                </c:pt>
              </c:numCache>
            </c:numRef>
          </c:xVal>
          <c:yVal>
            <c:numRef>
              <c:f>价格报价模拟!$K$2:$K$30</c:f>
              <c:numCache>
                <c:formatCode>General</c:formatCode>
                <c:ptCount val="29"/>
                <c:pt idx="0">
                  <c:v>280</c:v>
                </c:pt>
                <c:pt idx="1">
                  <c:v>280</c:v>
                </c:pt>
                <c:pt idx="2">
                  <c:v>285</c:v>
                </c:pt>
                <c:pt idx="3">
                  <c:v>285</c:v>
                </c:pt>
                <c:pt idx="4">
                  <c:v>295</c:v>
                </c:pt>
                <c:pt idx="5">
                  <c:v>295</c:v>
                </c:pt>
                <c:pt idx="6">
                  <c:v>302</c:v>
                </c:pt>
                <c:pt idx="7">
                  <c:v>302</c:v>
                </c:pt>
                <c:pt idx="8">
                  <c:v>305</c:v>
                </c:pt>
                <c:pt idx="9">
                  <c:v>305</c:v>
                </c:pt>
                <c:pt idx="10">
                  <c:v>315</c:v>
                </c:pt>
                <c:pt idx="11">
                  <c:v>315</c:v>
                </c:pt>
                <c:pt idx="12">
                  <c:v>320</c:v>
                </c:pt>
                <c:pt idx="13">
                  <c:v>320</c:v>
                </c:pt>
                <c:pt idx="14">
                  <c:v>330</c:v>
                </c:pt>
                <c:pt idx="15">
                  <c:v>330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B1-4240-86AA-24493068D213}"/>
            </c:ext>
          </c:extLst>
        </c:ser>
        <c:ser>
          <c:idx val="1"/>
          <c:order val="1"/>
          <c:tx>
            <c:strRef>
              <c:f>价格报价模拟!$M$1</c:f>
              <c:strCache>
                <c:ptCount val="1"/>
                <c:pt idx="0">
                  <c:v>用户电价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价格报价模拟!$L$2:$L$30</c:f>
              <c:numCache>
                <c:formatCode>General</c:formatCode>
                <c:ptCount val="29"/>
                <c:pt idx="0">
                  <c:v>0</c:v>
                </c:pt>
                <c:pt idx="1">
                  <c:v>600</c:v>
                </c:pt>
                <c:pt idx="2">
                  <c:v>600</c:v>
                </c:pt>
                <c:pt idx="3">
                  <c:v>3100</c:v>
                </c:pt>
                <c:pt idx="4">
                  <c:v>3100</c:v>
                </c:pt>
                <c:pt idx="5">
                  <c:v>4100</c:v>
                </c:pt>
                <c:pt idx="6">
                  <c:v>4100</c:v>
                </c:pt>
                <c:pt idx="7">
                  <c:v>4800</c:v>
                </c:pt>
                <c:pt idx="8">
                  <c:v>4800</c:v>
                </c:pt>
                <c:pt idx="9">
                  <c:v>5300</c:v>
                </c:pt>
                <c:pt idx="10">
                  <c:v>5300</c:v>
                </c:pt>
                <c:pt idx="11">
                  <c:v>6100</c:v>
                </c:pt>
                <c:pt idx="12">
                  <c:v>6100</c:v>
                </c:pt>
                <c:pt idx="13">
                  <c:v>8100</c:v>
                </c:pt>
                <c:pt idx="14">
                  <c:v>8100</c:v>
                </c:pt>
                <c:pt idx="15">
                  <c:v>9400</c:v>
                </c:pt>
              </c:numCache>
            </c:numRef>
          </c:xVal>
          <c:yVal>
            <c:numRef>
              <c:f>价格报价模拟!$M$2:$M$30</c:f>
              <c:numCache>
                <c:formatCode>General</c:formatCode>
                <c:ptCount val="29"/>
                <c:pt idx="0">
                  <c:v>330</c:v>
                </c:pt>
                <c:pt idx="1">
                  <c:v>330</c:v>
                </c:pt>
                <c:pt idx="2">
                  <c:v>317</c:v>
                </c:pt>
                <c:pt idx="3">
                  <c:v>317</c:v>
                </c:pt>
                <c:pt idx="4">
                  <c:v>316</c:v>
                </c:pt>
                <c:pt idx="5">
                  <c:v>316</c:v>
                </c:pt>
                <c:pt idx="6">
                  <c:v>315</c:v>
                </c:pt>
                <c:pt idx="7">
                  <c:v>315</c:v>
                </c:pt>
                <c:pt idx="8">
                  <c:v>313</c:v>
                </c:pt>
                <c:pt idx="9">
                  <c:v>313</c:v>
                </c:pt>
                <c:pt idx="10">
                  <c:v>312</c:v>
                </c:pt>
                <c:pt idx="11">
                  <c:v>312</c:v>
                </c:pt>
                <c:pt idx="12">
                  <c:v>310</c:v>
                </c:pt>
                <c:pt idx="13">
                  <c:v>310</c:v>
                </c:pt>
                <c:pt idx="14">
                  <c:v>296</c:v>
                </c:pt>
                <c:pt idx="15">
                  <c:v>296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B1-4240-86AA-24493068D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65915072"/>
        <c:axId val="-1765919968"/>
      </c:scatterChart>
      <c:valAx>
        <c:axId val="-176591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765919968"/>
        <c:crosses val="autoZero"/>
        <c:crossBetween val="midCat"/>
      </c:valAx>
      <c:valAx>
        <c:axId val="-176591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765915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15393</xdr:rowOff>
    </xdr:from>
    <xdr:to>
      <xdr:col>15</xdr:col>
      <xdr:colOff>431030</xdr:colOff>
      <xdr:row>30</xdr:row>
      <xdr:rowOff>38484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15</xdr:col>
      <xdr:colOff>139095</xdr:colOff>
      <xdr:row>26</xdr:row>
      <xdr:rowOff>133048</xdr:rowOff>
    </xdr:to>
    <xdr:graphicFrame macro="">
      <xdr:nvGraphicFramePr>
        <xdr:cNvPr id="2" name="图表 1">
          <a:extLst>
            <a:ext uri="{FF2B5EF4-FFF2-40B4-BE49-F238E27FC236}">
              <a16:creationId xmlns="" xmlns:a16="http://schemas.microsoft.com/office/drawing/2014/main" id="{10D32022-9642-4B22-9FF9-A34FF59D5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20559;&#24046;&#19982;&#31454;&#20215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20559;&#24046;&#19982;&#31454;&#20215;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02&#65288;&#21482;&#25171;&#21360;&#25253;&#20215;&#39029;&#31614;&#65289;&#38598;&#20013;&#31454;&#20215;&#25968;&#25454;&#34920;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02&#65288;&#21482;&#25171;&#21360;&#25253;&#20215;&#39029;&#31614;&#65289;&#38598;&#20013;&#31454;&#20215;&#25968;&#25454;&#34920;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2796.601916666667" createdVersion="6" refreshedVersion="6" minRefreshableVersion="3" recordCount="12">
  <cacheSource type="worksheet">
    <worksheetSource ref="C2:D14" sheet="报价模拟基础数据" r:id="rId2"/>
  </cacheSource>
  <cacheFields count="2">
    <cacheField name="电量" numFmtId="0">
      <sharedItems containsString="0" containsBlank="1" containsNumber="1" containsInteger="1" minValue="500" maxValue="2000"/>
    </cacheField>
    <cacheField name="电价" numFmtId="0">
      <sharedItems containsString="0" containsBlank="1" containsNumber="1" containsInteger="1" minValue="-35" maxValue="-5" count="11">
        <n v="-35"/>
        <n v="-15"/>
        <n v="-18"/>
        <n v="-30"/>
        <n v="-10"/>
        <n v="-20"/>
        <n v="-5"/>
        <m/>
        <n v="-33" u="1"/>
        <n v="-11" u="1"/>
        <n v="-1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者" refreshedDate="42796.612129513887" createdVersion="6" refreshedVersion="6" minRefreshableVersion="3" recordCount="12">
  <cacheSource type="worksheet">
    <worksheetSource ref="C16:D28" sheet="报价模拟基础数据" r:id="rId2"/>
  </cacheSource>
  <cacheFields count="2">
    <cacheField name="电量" numFmtId="0">
      <sharedItems containsString="0" containsBlank="1" containsNumber="1" containsInteger="1" minValue="500" maxValue="2000"/>
    </cacheField>
    <cacheField name="电价" numFmtId="0">
      <sharedItems containsString="0" containsBlank="1" containsNumber="1" containsInteger="1" minValue="-10" maxValue="0" count="9">
        <n v="-5"/>
        <n v="-3"/>
        <n v="-7"/>
        <n v="-10"/>
        <n v="-8"/>
        <n v="-2"/>
        <n v="0"/>
        <m/>
        <n v="-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者" refreshedDate="42810.676091550929" createdVersion="5" refreshedVersion="5" minRefreshableVersion="3" recordCount="9">
  <cacheSource type="worksheet">
    <worksheetSource ref="C2:D11" sheet="价格报价模拟" r:id="rId2"/>
  </cacheSource>
  <cacheFields count="2">
    <cacheField name="电量" numFmtId="0">
      <sharedItems containsSemiMixedTypes="0" containsString="0" containsNumber="1" containsInteger="1" minValue="500" maxValue="2000"/>
    </cacheField>
    <cacheField name="电价" numFmtId="0">
      <sharedItems containsSemiMixedTypes="0" containsString="0" containsNumber="1" containsInteger="1" minValue="280" maxValue="330" count="8">
        <n v="295"/>
        <n v="315"/>
        <n v="285"/>
        <n v="280"/>
        <n v="320"/>
        <n v="305"/>
        <n v="330"/>
        <n v="3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作者" refreshedDate="42810.68214571759" createdVersion="5" refreshedVersion="5" minRefreshableVersion="3" recordCount="9">
  <cacheSource type="worksheet">
    <worksheetSource ref="C13:D22" sheet="价格报价模拟" r:id="rId2"/>
  </cacheSource>
  <cacheFields count="2">
    <cacheField name="电量" numFmtId="0">
      <sharedItems containsSemiMixedTypes="0" containsString="0" containsNumber="1" containsInteger="1" minValue="500" maxValue="2000"/>
    </cacheField>
    <cacheField name="电价" numFmtId="0">
      <sharedItems containsSemiMixedTypes="0" containsString="0" containsNumber="1" containsInteger="1" minValue="296" maxValue="330" count="8">
        <n v="315"/>
        <n v="317"/>
        <n v="313"/>
        <n v="310"/>
        <n v="296"/>
        <n v="312"/>
        <n v="316"/>
        <n v="33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n v="1000"/>
    <x v="0"/>
  </r>
  <r>
    <n v="1000"/>
    <x v="1"/>
  </r>
  <r>
    <n v="800"/>
    <x v="2"/>
  </r>
  <r>
    <n v="2000"/>
    <x v="3"/>
  </r>
  <r>
    <n v="500"/>
    <x v="4"/>
  </r>
  <r>
    <n v="1300"/>
    <x v="5"/>
  </r>
  <r>
    <n v="1000"/>
    <x v="4"/>
  </r>
  <r>
    <n v="2000"/>
    <x v="6"/>
  </r>
  <r>
    <n v="1300"/>
    <x v="2"/>
  </r>
  <r>
    <m/>
    <x v="7"/>
  </r>
  <r>
    <m/>
    <x v="7"/>
  </r>
  <r>
    <m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n v="700"/>
    <x v="0"/>
  </r>
  <r>
    <n v="1200"/>
    <x v="1"/>
  </r>
  <r>
    <n v="500"/>
    <x v="2"/>
  </r>
  <r>
    <n v="2000"/>
    <x v="3"/>
  </r>
  <r>
    <n v="1300"/>
    <x v="3"/>
  </r>
  <r>
    <n v="800"/>
    <x v="4"/>
  </r>
  <r>
    <n v="1000"/>
    <x v="5"/>
  </r>
  <r>
    <n v="600"/>
    <x v="6"/>
  </r>
  <r>
    <n v="1300"/>
    <x v="1"/>
  </r>
  <r>
    <m/>
    <x v="7"/>
  </r>
  <r>
    <m/>
    <x v="7"/>
  </r>
  <r>
    <m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">
  <r>
    <n v="1000"/>
    <x v="0"/>
  </r>
  <r>
    <n v="1000"/>
    <x v="1"/>
  </r>
  <r>
    <n v="800"/>
    <x v="2"/>
  </r>
  <r>
    <n v="2000"/>
    <x v="3"/>
  </r>
  <r>
    <n v="500"/>
    <x v="4"/>
  </r>
  <r>
    <n v="1300"/>
    <x v="5"/>
  </r>
  <r>
    <n v="1000"/>
    <x v="6"/>
  </r>
  <r>
    <n v="2000"/>
    <x v="1"/>
  </r>
  <r>
    <n v="1300"/>
    <x v="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">
  <r>
    <n v="700"/>
    <x v="0"/>
  </r>
  <r>
    <n v="1200"/>
    <x v="1"/>
  </r>
  <r>
    <n v="500"/>
    <x v="2"/>
  </r>
  <r>
    <n v="2000"/>
    <x v="3"/>
  </r>
  <r>
    <n v="1300"/>
    <x v="4"/>
  </r>
  <r>
    <n v="800"/>
    <x v="5"/>
  </r>
  <r>
    <n v="1000"/>
    <x v="6"/>
  </r>
  <r>
    <n v="600"/>
    <x v="7"/>
  </r>
  <r>
    <n v="13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数据透视表19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F16:G25" firstHeaderRow="1" firstDataRow="1" firstDataCol="1"/>
  <pivotFields count="2">
    <pivotField dataField="1" showAll="0"/>
    <pivotField axis="axisRow" showAll="0">
      <items count="10">
        <item x="3"/>
        <item x="4"/>
        <item x="2"/>
        <item m="1" x="8"/>
        <item x="0"/>
        <item x="1"/>
        <item x="5"/>
        <item x="6"/>
        <item x="7"/>
        <item t="default"/>
      </items>
    </pivotField>
  </pivotFields>
  <rowFields count="1">
    <field x="1"/>
  </rowFields>
  <rowItems count="9">
    <i>
      <x/>
    </i>
    <i>
      <x v="1"/>
    </i>
    <i>
      <x v="2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求和项:电量" fld="0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8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F2:G11" firstHeaderRow="1" firstDataRow="1" firstDataCol="1"/>
  <pivotFields count="2">
    <pivotField dataField="1" showAll="0"/>
    <pivotField axis="axisRow" showAll="0">
      <items count="12">
        <item x="0"/>
        <item m="1" x="8"/>
        <item x="3"/>
        <item x="5"/>
        <item x="2"/>
        <item x="1"/>
        <item m="1" x="10"/>
        <item m="1" x="9"/>
        <item x="4"/>
        <item x="6"/>
        <item x="7"/>
        <item t="default"/>
      </items>
    </pivotField>
  </pivotFields>
  <rowFields count="1">
    <field x="1"/>
  </rowFields>
  <rowItems count="9">
    <i>
      <x/>
    </i>
    <i>
      <x v="2"/>
    </i>
    <i>
      <x v="3"/>
    </i>
    <i>
      <x v="4"/>
    </i>
    <i>
      <x v="5"/>
    </i>
    <i>
      <x v="8"/>
    </i>
    <i>
      <x v="9"/>
    </i>
    <i>
      <x v="10"/>
    </i>
    <i t="grand">
      <x/>
    </i>
  </rowItems>
  <colItems count="1">
    <i/>
  </colItems>
  <dataFields count="1">
    <dataField name="求和项:电量" fld="0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4" cacheId="3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E13:F22" firstHeaderRow="1" firstDataRow="1" firstDataCol="1"/>
  <pivotFields count="2">
    <pivotField dataField="1" showAll="0"/>
    <pivotField axis="axisRow" showAll="0" sortType="descending">
      <items count="9">
        <item x="7"/>
        <item x="1"/>
        <item x="6"/>
        <item x="0"/>
        <item x="2"/>
        <item x="5"/>
        <item x="3"/>
        <item x="4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求和项:电量" fld="0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E2:F11" firstHeaderRow="1" firstDataRow="1" firstDataCol="1"/>
  <pivotFields count="2">
    <pivotField dataField="1" showAll="0"/>
    <pivotField axis="axisRow" showAll="0">
      <items count="9">
        <item x="3"/>
        <item x="2"/>
        <item x="0"/>
        <item x="7"/>
        <item x="5"/>
        <item x="1"/>
        <item x="4"/>
        <item x="6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求和项:电量" fld="0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F1" zoomScale="140" zoomScaleNormal="140" workbookViewId="0">
      <selection activeCell="H8" sqref="H8"/>
    </sheetView>
  </sheetViews>
  <sheetFormatPr defaultRowHeight="14" x14ac:dyDescent="0.25"/>
  <cols>
    <col min="1" max="1" width="17.453125" customWidth="1"/>
    <col min="2" max="4" width="17.81640625" customWidth="1"/>
    <col min="5" max="5" width="17.1796875" bestFit="1" customWidth="1"/>
    <col min="6" max="6" width="26.81640625" customWidth="1"/>
    <col min="7" max="8" width="17.81640625" customWidth="1"/>
    <col min="10" max="10" width="20.54296875" customWidth="1"/>
    <col min="11" max="11" width="15.453125" customWidth="1"/>
    <col min="12" max="12" width="11.90625" customWidth="1"/>
  </cols>
  <sheetData>
    <row r="1" spans="1:12" ht="37.75" customHeight="1" x14ac:dyDescent="0.25">
      <c r="A1" s="24" t="s">
        <v>65</v>
      </c>
      <c r="B1" s="24"/>
      <c r="C1" s="24"/>
      <c r="D1" s="24"/>
      <c r="E1" s="2"/>
      <c r="F1" s="18" t="s">
        <v>64</v>
      </c>
      <c r="G1" s="19"/>
      <c r="H1" s="20"/>
    </row>
    <row r="2" spans="1:12" ht="16.5" x14ac:dyDescent="0.25">
      <c r="A2" s="3" t="s">
        <v>0</v>
      </c>
      <c r="B2" s="3"/>
      <c r="C2" s="3" t="s">
        <v>1</v>
      </c>
      <c r="D2" s="3" t="s">
        <v>2</v>
      </c>
      <c r="E2" s="4"/>
      <c r="F2" s="12" t="s">
        <v>0</v>
      </c>
      <c r="G2" s="11" t="s">
        <v>14</v>
      </c>
      <c r="H2" s="11" t="s">
        <v>15</v>
      </c>
      <c r="J2" s="12" t="s">
        <v>10</v>
      </c>
      <c r="K2" s="3" t="s">
        <v>1</v>
      </c>
      <c r="L2" s="3" t="s">
        <v>16</v>
      </c>
    </row>
    <row r="3" spans="1:12" ht="16.5" x14ac:dyDescent="0.25">
      <c r="A3" s="25" t="s">
        <v>3</v>
      </c>
      <c r="B3" s="3" t="s">
        <v>4</v>
      </c>
      <c r="C3" s="3">
        <v>1000</v>
      </c>
      <c r="D3" s="3">
        <v>-35</v>
      </c>
      <c r="E3" s="4"/>
      <c r="F3" s="11" t="s">
        <v>43</v>
      </c>
      <c r="G3" s="11">
        <v>1000</v>
      </c>
      <c r="H3" s="11">
        <v>295</v>
      </c>
      <c r="J3" s="3" t="s">
        <v>61</v>
      </c>
      <c r="K3" s="3">
        <v>700</v>
      </c>
      <c r="L3" s="3">
        <v>315</v>
      </c>
    </row>
    <row r="4" spans="1:12" ht="16.5" x14ac:dyDescent="0.25">
      <c r="A4" s="25"/>
      <c r="B4" s="3" t="s">
        <v>5</v>
      </c>
      <c r="C4" s="3">
        <v>1000</v>
      </c>
      <c r="D4" s="3">
        <v>-15</v>
      </c>
      <c r="E4" s="4"/>
      <c r="F4" s="12" t="s">
        <v>44</v>
      </c>
      <c r="G4" s="11">
        <v>1000</v>
      </c>
      <c r="H4" s="11">
        <v>315</v>
      </c>
      <c r="J4" s="13" t="s">
        <v>53</v>
      </c>
      <c r="K4" s="3">
        <v>1200</v>
      </c>
      <c r="L4" s="3">
        <v>317</v>
      </c>
    </row>
    <row r="5" spans="1:12" ht="16.5" x14ac:dyDescent="0.25">
      <c r="A5" s="25"/>
      <c r="B5" s="3" t="s">
        <v>6</v>
      </c>
      <c r="C5" s="3">
        <v>800</v>
      </c>
      <c r="D5" s="3">
        <v>-18</v>
      </c>
      <c r="E5" s="4"/>
      <c r="F5" s="12" t="s">
        <v>45</v>
      </c>
      <c r="G5" s="11">
        <v>800</v>
      </c>
      <c r="H5" s="11">
        <v>285</v>
      </c>
      <c r="J5" s="13" t="s">
        <v>54</v>
      </c>
      <c r="K5" s="3">
        <v>500</v>
      </c>
      <c r="L5" s="3">
        <v>313</v>
      </c>
    </row>
    <row r="6" spans="1:12" ht="16.5" x14ac:dyDescent="0.25">
      <c r="A6" s="25" t="s">
        <v>7</v>
      </c>
      <c r="B6" s="3" t="s">
        <v>4</v>
      </c>
      <c r="C6" s="3">
        <v>2000</v>
      </c>
      <c r="D6" s="3">
        <v>-30</v>
      </c>
      <c r="E6" s="4"/>
      <c r="F6" s="12" t="s">
        <v>46</v>
      </c>
      <c r="G6" s="11">
        <v>2000</v>
      </c>
      <c r="H6" s="11">
        <v>280</v>
      </c>
      <c r="J6" s="13" t="s">
        <v>55</v>
      </c>
      <c r="K6" s="3">
        <v>2000</v>
      </c>
      <c r="L6" s="3">
        <v>310</v>
      </c>
    </row>
    <row r="7" spans="1:12" ht="16.5" x14ac:dyDescent="0.25">
      <c r="A7" s="25"/>
      <c r="B7" s="3" t="s">
        <v>5</v>
      </c>
      <c r="C7" s="3">
        <v>500</v>
      </c>
      <c r="D7" s="3">
        <v>-10</v>
      </c>
      <c r="E7" s="4"/>
      <c r="F7" s="12" t="s">
        <v>47</v>
      </c>
      <c r="G7" s="11">
        <v>500</v>
      </c>
      <c r="H7" s="11">
        <v>320</v>
      </c>
      <c r="J7" s="13" t="s">
        <v>56</v>
      </c>
      <c r="K7" s="3">
        <v>1300</v>
      </c>
      <c r="L7" s="3">
        <v>296</v>
      </c>
    </row>
    <row r="8" spans="1:12" ht="16.5" x14ac:dyDescent="0.25">
      <c r="A8" s="25"/>
      <c r="B8" s="3" t="s">
        <v>6</v>
      </c>
      <c r="C8" s="3">
        <v>1300</v>
      </c>
      <c r="D8" s="3">
        <v>-20</v>
      </c>
      <c r="E8" s="4"/>
      <c r="F8" s="12" t="s">
        <v>48</v>
      </c>
      <c r="G8" s="11">
        <v>1300</v>
      </c>
      <c r="H8" s="11">
        <v>305</v>
      </c>
      <c r="J8" s="13" t="s">
        <v>57</v>
      </c>
      <c r="K8" s="3">
        <v>800</v>
      </c>
      <c r="L8" s="3">
        <v>312</v>
      </c>
    </row>
    <row r="9" spans="1:12" ht="16.5" x14ac:dyDescent="0.25">
      <c r="A9" s="25" t="s">
        <v>8</v>
      </c>
      <c r="B9" s="3" t="s">
        <v>9</v>
      </c>
      <c r="C9" s="3">
        <v>1000</v>
      </c>
      <c r="D9" s="3">
        <v>-10</v>
      </c>
      <c r="E9" s="4"/>
      <c r="F9" s="12" t="s">
        <v>49</v>
      </c>
      <c r="G9" s="11">
        <v>1000</v>
      </c>
      <c r="H9" s="11">
        <v>330</v>
      </c>
      <c r="J9" s="13" t="s">
        <v>58</v>
      </c>
      <c r="K9" s="3">
        <v>1000</v>
      </c>
      <c r="L9" s="3">
        <v>316</v>
      </c>
    </row>
    <row r="10" spans="1:12" ht="16.5" x14ac:dyDescent="0.25">
      <c r="A10" s="25"/>
      <c r="B10" s="3" t="s">
        <v>5</v>
      </c>
      <c r="C10" s="3">
        <v>2000</v>
      </c>
      <c r="D10" s="3">
        <v>-5</v>
      </c>
      <c r="E10" s="4"/>
      <c r="F10" s="12" t="s">
        <v>50</v>
      </c>
      <c r="G10" s="11">
        <v>2000</v>
      </c>
      <c r="H10" s="11">
        <v>315</v>
      </c>
      <c r="J10" s="13" t="s">
        <v>59</v>
      </c>
      <c r="K10" s="3">
        <v>600</v>
      </c>
      <c r="L10" s="3">
        <v>330</v>
      </c>
    </row>
    <row r="11" spans="1:12" ht="16.5" x14ac:dyDescent="0.25">
      <c r="A11" s="25"/>
      <c r="B11" s="3" t="s">
        <v>6</v>
      </c>
      <c r="C11" s="3">
        <v>1300</v>
      </c>
      <c r="D11" s="3">
        <v>-18</v>
      </c>
      <c r="E11" s="4"/>
      <c r="F11" s="12" t="s">
        <v>51</v>
      </c>
      <c r="G11" s="11">
        <v>1300</v>
      </c>
      <c r="H11" s="11">
        <v>302</v>
      </c>
      <c r="J11" s="13" t="s">
        <v>60</v>
      </c>
      <c r="K11" s="3">
        <v>1300</v>
      </c>
      <c r="L11" s="3">
        <v>317</v>
      </c>
    </row>
    <row r="12" spans="1:12" ht="16.5" x14ac:dyDescent="0.25">
      <c r="A12" s="5"/>
      <c r="B12" s="5"/>
      <c r="C12" s="5"/>
      <c r="D12" s="5"/>
      <c r="E12" s="4"/>
      <c r="F12" s="5"/>
      <c r="G12" s="5"/>
      <c r="H12" s="5"/>
    </row>
    <row r="13" spans="1:12" ht="16.5" x14ac:dyDescent="0.25">
      <c r="A13" s="5"/>
      <c r="B13" s="5"/>
      <c r="C13" s="5"/>
      <c r="D13" s="5"/>
      <c r="E13" s="4"/>
      <c r="F13" s="5"/>
      <c r="G13" s="5"/>
      <c r="H13" s="5"/>
    </row>
    <row r="14" spans="1:12" ht="16.5" x14ac:dyDescent="0.25">
      <c r="A14" s="3" t="s">
        <v>10</v>
      </c>
      <c r="B14" s="3"/>
      <c r="C14" s="3" t="s">
        <v>1</v>
      </c>
      <c r="D14" s="3" t="s">
        <v>2</v>
      </c>
      <c r="E14" s="4"/>
    </row>
    <row r="15" spans="1:12" ht="16.5" x14ac:dyDescent="0.25">
      <c r="A15" s="21" t="s">
        <v>11</v>
      </c>
      <c r="B15" s="3" t="s">
        <v>9</v>
      </c>
      <c r="C15" s="3">
        <v>700</v>
      </c>
      <c r="D15" s="3">
        <v>-5</v>
      </c>
      <c r="E15" s="4"/>
    </row>
    <row r="16" spans="1:12" ht="16.5" x14ac:dyDescent="0.25">
      <c r="A16" s="22"/>
      <c r="B16" s="3" t="s">
        <v>5</v>
      </c>
      <c r="C16" s="3">
        <v>1200</v>
      </c>
      <c r="D16" s="3">
        <v>-3</v>
      </c>
      <c r="E16" s="4"/>
    </row>
    <row r="17" spans="1:5" ht="16.5" x14ac:dyDescent="0.25">
      <c r="A17" s="23"/>
      <c r="B17" s="3" t="s">
        <v>6</v>
      </c>
      <c r="C17" s="3">
        <v>500</v>
      </c>
      <c r="D17" s="3">
        <v>-7</v>
      </c>
      <c r="E17" s="4"/>
    </row>
    <row r="18" spans="1:5" ht="16.5" x14ac:dyDescent="0.25">
      <c r="A18" s="21" t="s">
        <v>12</v>
      </c>
      <c r="B18" s="3" t="s">
        <v>4</v>
      </c>
      <c r="C18" s="3">
        <v>2000</v>
      </c>
      <c r="D18" s="3">
        <v>-10</v>
      </c>
      <c r="E18" s="4"/>
    </row>
    <row r="19" spans="1:5" ht="16.5" x14ac:dyDescent="0.25">
      <c r="A19" s="22"/>
      <c r="B19" s="3" t="s">
        <v>5</v>
      </c>
      <c r="C19" s="3">
        <v>1300</v>
      </c>
      <c r="D19" s="3">
        <v>-10</v>
      </c>
      <c r="E19" s="6"/>
    </row>
    <row r="20" spans="1:5" ht="16.5" x14ac:dyDescent="0.25">
      <c r="A20" s="23"/>
      <c r="B20" s="3" t="s">
        <v>6</v>
      </c>
      <c r="C20" s="3">
        <v>800</v>
      </c>
      <c r="D20" s="3">
        <v>-8</v>
      </c>
      <c r="E20" s="6"/>
    </row>
    <row r="21" spans="1:5" ht="16.5" x14ac:dyDescent="0.25">
      <c r="A21" s="21" t="s">
        <v>62</v>
      </c>
      <c r="B21" s="3" t="s">
        <v>9</v>
      </c>
      <c r="C21" s="3">
        <v>1000</v>
      </c>
      <c r="D21" s="3">
        <v>-2</v>
      </c>
      <c r="E21" s="6"/>
    </row>
    <row r="22" spans="1:5" ht="16.5" x14ac:dyDescent="0.25">
      <c r="A22" s="22"/>
      <c r="B22" s="3" t="s">
        <v>5</v>
      </c>
      <c r="C22" s="3">
        <v>600</v>
      </c>
      <c r="D22" s="3">
        <v>0</v>
      </c>
      <c r="E22" s="6"/>
    </row>
    <row r="23" spans="1:5" ht="16.5" x14ac:dyDescent="0.25">
      <c r="A23" s="23"/>
      <c r="B23" s="3" t="s">
        <v>6</v>
      </c>
      <c r="C23" s="3">
        <v>1300</v>
      </c>
      <c r="D23" s="3">
        <v>-3</v>
      </c>
      <c r="E23" s="6"/>
    </row>
    <row r="24" spans="1:5" x14ac:dyDescent="0.25">
      <c r="E24" s="1"/>
    </row>
    <row r="25" spans="1:5" x14ac:dyDescent="0.25">
      <c r="E25" s="1"/>
    </row>
  </sheetData>
  <mergeCells count="8">
    <mergeCell ref="F1:H1"/>
    <mergeCell ref="A15:A17"/>
    <mergeCell ref="A18:A20"/>
    <mergeCell ref="A21:A23"/>
    <mergeCell ref="A1:D1"/>
    <mergeCell ref="A3:A5"/>
    <mergeCell ref="A6:A8"/>
    <mergeCell ref="A9:A1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125" zoomScaleNormal="104" workbookViewId="0">
      <selection activeCell="M13" sqref="M13"/>
    </sheetView>
  </sheetViews>
  <sheetFormatPr defaultRowHeight="14" x14ac:dyDescent="0.25"/>
  <cols>
    <col min="1" max="1" width="9.1796875" bestFit="1" customWidth="1"/>
    <col min="2" max="2" width="9.1796875" customWidth="1"/>
    <col min="4" max="4" width="9.81640625" customWidth="1"/>
    <col min="5" max="5" width="16.453125" customWidth="1"/>
    <col min="6" max="6" width="9.81640625" customWidth="1"/>
    <col min="7" max="7" width="13.08984375" customWidth="1"/>
    <col min="8" max="8" width="13.08984375" bestFit="1" customWidth="1"/>
  </cols>
  <sheetData>
    <row r="1" spans="1:15" x14ac:dyDescent="0.25">
      <c r="I1" t="s">
        <v>17</v>
      </c>
      <c r="J1" t="s">
        <v>18</v>
      </c>
      <c r="L1" t="s">
        <v>19</v>
      </c>
      <c r="M1" t="s">
        <v>17</v>
      </c>
      <c r="N1" t="s">
        <v>20</v>
      </c>
      <c r="O1" t="s">
        <v>21</v>
      </c>
    </row>
    <row r="2" spans="1:15" x14ac:dyDescent="0.25">
      <c r="A2" t="s">
        <v>13</v>
      </c>
      <c r="C2" t="s">
        <v>1</v>
      </c>
      <c r="D2" t="s">
        <v>15</v>
      </c>
      <c r="F2" t="s">
        <v>22</v>
      </c>
      <c r="G2" t="s">
        <v>23</v>
      </c>
      <c r="I2" s="7">
        <v>-35</v>
      </c>
      <c r="J2" s="8">
        <v>0</v>
      </c>
      <c r="L2">
        <f>J2</f>
        <v>0</v>
      </c>
      <c r="M2">
        <f>I2</f>
        <v>-35</v>
      </c>
      <c r="N2">
        <v>0</v>
      </c>
      <c r="O2">
        <v>0</v>
      </c>
    </row>
    <row r="3" spans="1:15" x14ac:dyDescent="0.25">
      <c r="A3" s="27" t="s">
        <v>24</v>
      </c>
      <c r="B3" t="s">
        <v>4</v>
      </c>
      <c r="C3">
        <v>1000</v>
      </c>
      <c r="D3">
        <v>-35</v>
      </c>
      <c r="F3" s="9">
        <v>-35</v>
      </c>
      <c r="G3" s="1">
        <v>1000</v>
      </c>
      <c r="I3" s="7">
        <v>-35</v>
      </c>
      <c r="J3">
        <v>10</v>
      </c>
      <c r="L3">
        <f>GETPIVOTDATA("电量",$F$2,"电价",-35)</f>
        <v>1000</v>
      </c>
      <c r="M3">
        <f>I3</f>
        <v>-35</v>
      </c>
      <c r="N3">
        <f>GETPIVOTDATA("电量",$F$16,"电价",0)</f>
        <v>600</v>
      </c>
      <c r="O3">
        <v>0</v>
      </c>
    </row>
    <row r="4" spans="1:15" x14ac:dyDescent="0.25">
      <c r="A4" s="27"/>
      <c r="B4" t="s">
        <v>5</v>
      </c>
      <c r="C4">
        <v>1000</v>
      </c>
      <c r="D4">
        <v>-15</v>
      </c>
      <c r="F4" s="9">
        <v>-30</v>
      </c>
      <c r="G4" s="1">
        <v>2000</v>
      </c>
      <c r="I4" s="7">
        <v>-30</v>
      </c>
      <c r="J4" s="8">
        <v>30</v>
      </c>
      <c r="L4">
        <f>L3</f>
        <v>1000</v>
      </c>
      <c r="M4">
        <f>I4</f>
        <v>-30</v>
      </c>
      <c r="N4">
        <f>N3</f>
        <v>600</v>
      </c>
      <c r="O4">
        <v>-2</v>
      </c>
    </row>
    <row r="5" spans="1:15" x14ac:dyDescent="0.25">
      <c r="A5" s="27"/>
      <c r="B5" t="s">
        <v>6</v>
      </c>
      <c r="C5">
        <v>800</v>
      </c>
      <c r="D5">
        <v>-18</v>
      </c>
      <c r="F5" s="9">
        <v>-20</v>
      </c>
      <c r="G5" s="1">
        <v>1300</v>
      </c>
      <c r="I5" s="7">
        <v>-20</v>
      </c>
      <c r="J5" s="8">
        <v>43</v>
      </c>
      <c r="L5">
        <f>L4+GETPIVOTDATA("电量",$F$2,"电价",-30)</f>
        <v>3000</v>
      </c>
      <c r="M5">
        <f>I4</f>
        <v>-30</v>
      </c>
      <c r="N5">
        <f>N4+GETPIVOTDATA("电量",$F$16,"电价",-2)</f>
        <v>1600</v>
      </c>
      <c r="O5">
        <v>-2</v>
      </c>
    </row>
    <row r="6" spans="1:15" x14ac:dyDescent="0.25">
      <c r="A6" s="26" t="s">
        <v>25</v>
      </c>
      <c r="B6" t="s">
        <v>26</v>
      </c>
      <c r="C6">
        <v>2000</v>
      </c>
      <c r="D6">
        <v>-30</v>
      </c>
      <c r="F6" s="9">
        <v>-18</v>
      </c>
      <c r="G6" s="1">
        <v>2100</v>
      </c>
      <c r="I6" s="7">
        <v>-18</v>
      </c>
      <c r="J6" s="8">
        <v>64</v>
      </c>
      <c r="L6" s="8">
        <f>L5</f>
        <v>3000</v>
      </c>
      <c r="M6">
        <f>I5</f>
        <v>-20</v>
      </c>
      <c r="N6">
        <f>N5</f>
        <v>1600</v>
      </c>
      <c r="O6">
        <v>-3</v>
      </c>
    </row>
    <row r="7" spans="1:15" x14ac:dyDescent="0.25">
      <c r="A7" s="26"/>
      <c r="B7" t="s">
        <v>5</v>
      </c>
      <c r="C7">
        <v>500</v>
      </c>
      <c r="D7">
        <v>-10</v>
      </c>
      <c r="F7" s="9">
        <v>-15</v>
      </c>
      <c r="G7" s="1">
        <v>1000</v>
      </c>
      <c r="I7" s="7">
        <v>-15</v>
      </c>
      <c r="J7" s="8">
        <v>74</v>
      </c>
      <c r="L7" s="8">
        <f>L6+GETPIVOTDATA("电量",$F$2,"电价",-20)</f>
        <v>4300</v>
      </c>
      <c r="M7">
        <f>I5</f>
        <v>-20</v>
      </c>
      <c r="N7">
        <f>N6+GETPIVOTDATA("电量",$F$16,"电价",-3)</f>
        <v>4100</v>
      </c>
      <c r="O7">
        <v>-3</v>
      </c>
    </row>
    <row r="8" spans="1:15" x14ac:dyDescent="0.25">
      <c r="A8" s="26"/>
      <c r="B8" t="s">
        <v>6</v>
      </c>
      <c r="C8">
        <v>1300</v>
      </c>
      <c r="D8">
        <v>-20</v>
      </c>
      <c r="F8" s="9">
        <v>-10</v>
      </c>
      <c r="G8" s="1">
        <v>1500</v>
      </c>
      <c r="I8" s="7">
        <v>-10</v>
      </c>
      <c r="J8" s="8">
        <v>89</v>
      </c>
      <c r="L8">
        <f>L7</f>
        <v>4300</v>
      </c>
      <c r="M8">
        <f>I6</f>
        <v>-18</v>
      </c>
      <c r="N8">
        <f>N7</f>
        <v>4100</v>
      </c>
      <c r="O8">
        <v>-5</v>
      </c>
    </row>
    <row r="9" spans="1:15" x14ac:dyDescent="0.25">
      <c r="A9" s="26" t="s">
        <v>27</v>
      </c>
      <c r="B9" t="s">
        <v>26</v>
      </c>
      <c r="C9">
        <v>1000</v>
      </c>
      <c r="D9">
        <v>-10</v>
      </c>
      <c r="F9" s="9">
        <v>-5</v>
      </c>
      <c r="G9" s="1">
        <v>2000</v>
      </c>
      <c r="I9" s="7">
        <v>-5</v>
      </c>
      <c r="J9" s="8">
        <v>109</v>
      </c>
      <c r="L9">
        <f>L8+GETPIVOTDATA("电量",$F$2,"电价",-18)</f>
        <v>6400</v>
      </c>
      <c r="M9">
        <f>I6</f>
        <v>-18</v>
      </c>
      <c r="N9">
        <f>N8+GETPIVOTDATA("电量",$F$16,"电价",-5)</f>
        <v>4800</v>
      </c>
      <c r="O9">
        <v>-5</v>
      </c>
    </row>
    <row r="10" spans="1:15" x14ac:dyDescent="0.25">
      <c r="A10" s="26"/>
      <c r="B10" t="s">
        <v>5</v>
      </c>
      <c r="C10">
        <v>2000</v>
      </c>
      <c r="D10">
        <v>-5</v>
      </c>
      <c r="F10" s="9" t="s">
        <v>28</v>
      </c>
      <c r="G10" s="1"/>
      <c r="I10" s="7">
        <v>-11</v>
      </c>
      <c r="J10" s="8">
        <v>127</v>
      </c>
      <c r="L10">
        <f>L9</f>
        <v>6400</v>
      </c>
      <c r="M10">
        <f>I7</f>
        <v>-15</v>
      </c>
      <c r="N10">
        <f>N9</f>
        <v>4800</v>
      </c>
      <c r="O10">
        <v>-7</v>
      </c>
    </row>
    <row r="11" spans="1:15" x14ac:dyDescent="0.25">
      <c r="A11" s="26"/>
      <c r="B11" t="s">
        <v>6</v>
      </c>
      <c r="C11">
        <v>1300</v>
      </c>
      <c r="D11">
        <v>-18</v>
      </c>
      <c r="F11" s="9" t="s">
        <v>29</v>
      </c>
      <c r="G11" s="1">
        <v>10900</v>
      </c>
      <c r="I11" s="7">
        <v>-10</v>
      </c>
      <c r="J11" s="8">
        <v>142</v>
      </c>
      <c r="L11">
        <f>L10+GETPIVOTDATA("电量",$F$2,"电价",-15)</f>
        <v>7400</v>
      </c>
      <c r="M11">
        <f>I7</f>
        <v>-15</v>
      </c>
      <c r="N11">
        <f>N10+GETPIVOTDATA("电量",$F$16,"电价",-7)</f>
        <v>5300</v>
      </c>
      <c r="O11">
        <v>-7</v>
      </c>
    </row>
    <row r="12" spans="1:15" x14ac:dyDescent="0.25">
      <c r="A12" s="26"/>
      <c r="I12" s="7">
        <v>-5</v>
      </c>
      <c r="J12" s="8">
        <v>162</v>
      </c>
      <c r="L12">
        <f>L11</f>
        <v>7400</v>
      </c>
      <c r="M12" s="8">
        <f>I8</f>
        <v>-10</v>
      </c>
      <c r="N12">
        <f>N11</f>
        <v>5300</v>
      </c>
      <c r="O12">
        <v>-8</v>
      </c>
    </row>
    <row r="13" spans="1:15" x14ac:dyDescent="0.25">
      <c r="A13" s="26"/>
      <c r="L13">
        <f>L12+GETPIVOTDATA("电量",$F$2,"电价",-10)</f>
        <v>8900</v>
      </c>
      <c r="M13">
        <f>I8</f>
        <v>-10</v>
      </c>
      <c r="N13">
        <f>N12+GETPIVOTDATA("电量",$F$16,"电价",-8)</f>
        <v>6100</v>
      </c>
      <c r="O13">
        <v>-8</v>
      </c>
    </row>
    <row r="14" spans="1:15" x14ac:dyDescent="0.25">
      <c r="A14" s="26"/>
      <c r="J14" s="7"/>
      <c r="K14" s="8"/>
      <c r="L14">
        <f>L13</f>
        <v>8900</v>
      </c>
      <c r="M14" s="8">
        <f>I9</f>
        <v>-5</v>
      </c>
      <c r="N14">
        <f>N13</f>
        <v>6100</v>
      </c>
      <c r="O14">
        <v>-10</v>
      </c>
    </row>
    <row r="15" spans="1:15" x14ac:dyDescent="0.25">
      <c r="K15" s="8"/>
      <c r="L15">
        <f>L14+GETPIVOTDATA("电量",$F$2,"电价",-5)</f>
        <v>10900</v>
      </c>
      <c r="M15" s="8">
        <f>I9</f>
        <v>-5</v>
      </c>
      <c r="N15">
        <f>N14+GETPIVOTDATA("电量",$F$16,"电价",-10)</f>
        <v>9400</v>
      </c>
      <c r="O15">
        <v>-10</v>
      </c>
    </row>
    <row r="16" spans="1:15" x14ac:dyDescent="0.25">
      <c r="A16" t="s">
        <v>30</v>
      </c>
      <c r="C16" t="s">
        <v>31</v>
      </c>
      <c r="D16" t="s">
        <v>32</v>
      </c>
      <c r="F16" t="s">
        <v>22</v>
      </c>
      <c r="G16" t="s">
        <v>23</v>
      </c>
      <c r="J16" s="7"/>
      <c r="K16" s="8"/>
      <c r="M16" s="8"/>
    </row>
    <row r="17" spans="1:12" x14ac:dyDescent="0.25">
      <c r="A17" s="27" t="s">
        <v>33</v>
      </c>
      <c r="B17" t="s">
        <v>26</v>
      </c>
      <c r="C17">
        <v>700</v>
      </c>
      <c r="D17">
        <v>-5</v>
      </c>
      <c r="F17" s="9">
        <v>-10</v>
      </c>
      <c r="G17" s="1">
        <v>3300</v>
      </c>
      <c r="J17" s="7"/>
      <c r="K17" s="8"/>
      <c r="L17" s="7"/>
    </row>
    <row r="18" spans="1:12" x14ac:dyDescent="0.25">
      <c r="A18" s="27"/>
      <c r="B18" t="s">
        <v>5</v>
      </c>
      <c r="C18">
        <v>1200</v>
      </c>
      <c r="D18">
        <v>-3</v>
      </c>
      <c r="F18" s="9">
        <v>-8</v>
      </c>
      <c r="G18" s="1">
        <v>800</v>
      </c>
      <c r="J18" s="7"/>
      <c r="K18" s="8"/>
    </row>
    <row r="19" spans="1:12" x14ac:dyDescent="0.25">
      <c r="A19" s="27"/>
      <c r="B19" t="s">
        <v>6</v>
      </c>
      <c r="C19">
        <v>500</v>
      </c>
      <c r="D19">
        <v>-7</v>
      </c>
      <c r="F19" s="9">
        <v>-7</v>
      </c>
      <c r="G19" s="1">
        <v>500</v>
      </c>
      <c r="J19" s="7"/>
      <c r="K19" s="8"/>
    </row>
    <row r="20" spans="1:12" x14ac:dyDescent="0.25">
      <c r="A20" s="26" t="s">
        <v>34</v>
      </c>
      <c r="B20" t="s">
        <v>26</v>
      </c>
      <c r="C20">
        <v>2000</v>
      </c>
      <c r="D20">
        <v>-10</v>
      </c>
      <c r="F20" s="9">
        <v>-5</v>
      </c>
      <c r="G20" s="1">
        <v>700</v>
      </c>
      <c r="J20" s="7"/>
      <c r="K20" s="8"/>
    </row>
    <row r="21" spans="1:12" x14ac:dyDescent="0.25">
      <c r="A21" s="26"/>
      <c r="B21" t="s">
        <v>5</v>
      </c>
      <c r="C21">
        <v>1300</v>
      </c>
      <c r="D21">
        <v>-10</v>
      </c>
      <c r="F21" s="9">
        <v>-3</v>
      </c>
      <c r="G21" s="1">
        <v>2500</v>
      </c>
      <c r="J21" s="7"/>
      <c r="K21" s="8"/>
    </row>
    <row r="22" spans="1:12" x14ac:dyDescent="0.25">
      <c r="A22" s="26"/>
      <c r="B22" t="s">
        <v>6</v>
      </c>
      <c r="C22">
        <v>800</v>
      </c>
      <c r="D22">
        <v>-8</v>
      </c>
      <c r="F22" s="9">
        <v>-2</v>
      </c>
      <c r="G22" s="1">
        <v>1000</v>
      </c>
      <c r="J22" s="7"/>
      <c r="K22" s="8"/>
    </row>
    <row r="23" spans="1:12" x14ac:dyDescent="0.25">
      <c r="A23" s="26" t="s">
        <v>63</v>
      </c>
      <c r="B23" t="s">
        <v>26</v>
      </c>
      <c r="C23">
        <v>1000</v>
      </c>
      <c r="D23">
        <v>-2</v>
      </c>
      <c r="F23" s="9">
        <v>0</v>
      </c>
      <c r="G23" s="1">
        <v>600</v>
      </c>
      <c r="J23" s="7"/>
      <c r="K23" s="8"/>
    </row>
    <row r="24" spans="1:12" x14ac:dyDescent="0.25">
      <c r="A24" s="26"/>
      <c r="B24" t="s">
        <v>5</v>
      </c>
      <c r="C24">
        <v>600</v>
      </c>
      <c r="D24">
        <v>0</v>
      </c>
      <c r="F24" s="9" t="s">
        <v>28</v>
      </c>
      <c r="G24" s="1"/>
      <c r="J24" s="7"/>
      <c r="K24" s="8"/>
    </row>
    <row r="25" spans="1:12" x14ac:dyDescent="0.25">
      <c r="A25" s="26"/>
      <c r="B25" t="s">
        <v>6</v>
      </c>
      <c r="C25">
        <v>1300</v>
      </c>
      <c r="D25">
        <v>-3</v>
      </c>
      <c r="F25" s="9" t="s">
        <v>29</v>
      </c>
      <c r="G25" s="1">
        <v>9400</v>
      </c>
    </row>
    <row r="26" spans="1:12" x14ac:dyDescent="0.25">
      <c r="A26" s="26"/>
      <c r="E26" s="1"/>
    </row>
    <row r="27" spans="1:12" x14ac:dyDescent="0.25">
      <c r="A27" s="26"/>
      <c r="E27" s="1"/>
    </row>
    <row r="28" spans="1:12" x14ac:dyDescent="0.25">
      <c r="A28" s="26"/>
      <c r="E28" s="1"/>
    </row>
    <row r="29" spans="1:12" x14ac:dyDescent="0.25">
      <c r="D29" s="9"/>
      <c r="E29" s="1"/>
    </row>
    <row r="30" spans="1:12" x14ac:dyDescent="0.25">
      <c r="D30" s="9"/>
      <c r="E30" s="1"/>
    </row>
  </sheetData>
  <mergeCells count="8">
    <mergeCell ref="A23:A25"/>
    <mergeCell ref="A26:A28"/>
    <mergeCell ref="A3:A5"/>
    <mergeCell ref="A6:A8"/>
    <mergeCell ref="A9:A11"/>
    <mergeCell ref="A12:A14"/>
    <mergeCell ref="A17:A19"/>
    <mergeCell ref="A20:A22"/>
  </mergeCells>
  <phoneticPr fontId="1" type="noConversion"/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7:S30"/>
  <sheetViews>
    <sheetView topLeftCell="A3" zoomScale="99" workbookViewId="0">
      <selection activeCell="R7" sqref="R7:S8"/>
    </sheetView>
  </sheetViews>
  <sheetFormatPr defaultRowHeight="14" x14ac:dyDescent="0.25"/>
  <cols>
    <col min="1" max="1" width="8.81640625" customWidth="1"/>
    <col min="17" max="17" width="8.90625" customWidth="1"/>
    <col min="18" max="18" width="11.81640625" bestFit="1" customWidth="1"/>
  </cols>
  <sheetData>
    <row r="7" spans="17:19" ht="14.4" customHeight="1" x14ac:dyDescent="0.25">
      <c r="Q7" s="16"/>
      <c r="R7" s="17" t="s">
        <v>66</v>
      </c>
      <c r="S7" s="17">
        <v>8900</v>
      </c>
    </row>
    <row r="8" spans="17:19" x14ac:dyDescent="0.25">
      <c r="Q8" s="16"/>
      <c r="R8" s="17" t="s">
        <v>67</v>
      </c>
      <c r="S8" s="17">
        <v>-10</v>
      </c>
    </row>
    <row r="9" spans="17:19" x14ac:dyDescent="0.25">
      <c r="Q9" s="16"/>
    </row>
    <row r="10" spans="17:19" x14ac:dyDescent="0.25">
      <c r="Q10" s="16"/>
    </row>
    <row r="11" spans="17:19" x14ac:dyDescent="0.25">
      <c r="Q11" s="16"/>
    </row>
    <row r="12" spans="17:19" x14ac:dyDescent="0.25">
      <c r="Q12" s="16"/>
    </row>
    <row r="13" spans="17:19" x14ac:dyDescent="0.25">
      <c r="Q13" s="16"/>
    </row>
    <row r="14" spans="17:19" x14ac:dyDescent="0.25">
      <c r="Q14" s="16"/>
    </row>
    <row r="15" spans="17:19" x14ac:dyDescent="0.25">
      <c r="Q15" s="16"/>
    </row>
    <row r="16" spans="17:19" x14ac:dyDescent="0.25">
      <c r="Q16" s="16"/>
    </row>
    <row r="17" spans="17:17" x14ac:dyDescent="0.25">
      <c r="Q17" s="15"/>
    </row>
    <row r="18" spans="17:17" ht="14.4" customHeight="1" x14ac:dyDescent="0.25">
      <c r="Q18" s="14"/>
    </row>
    <row r="19" spans="17:17" x14ac:dyDescent="0.25">
      <c r="Q19" s="14"/>
    </row>
    <row r="20" spans="17:17" x14ac:dyDescent="0.25">
      <c r="Q20" s="14"/>
    </row>
    <row r="21" spans="17:17" x14ac:dyDescent="0.25">
      <c r="Q21" s="14"/>
    </row>
    <row r="22" spans="17:17" x14ac:dyDescent="0.25">
      <c r="Q22" s="14"/>
    </row>
    <row r="23" spans="17:17" x14ac:dyDescent="0.25">
      <c r="Q23" s="14"/>
    </row>
    <row r="24" spans="17:17" x14ac:dyDescent="0.25">
      <c r="Q24" s="15"/>
    </row>
    <row r="25" spans="17:17" ht="14.4" customHeight="1" x14ac:dyDescent="0.25">
      <c r="Q25" s="14"/>
    </row>
    <row r="26" spans="17:17" x14ac:dyDescent="0.25">
      <c r="Q26" s="14"/>
    </row>
    <row r="27" spans="17:17" x14ac:dyDescent="0.25">
      <c r="Q27" s="14"/>
    </row>
    <row r="28" spans="17:17" x14ac:dyDescent="0.25">
      <c r="Q28" s="14"/>
    </row>
    <row r="29" spans="17:17" x14ac:dyDescent="0.25">
      <c r="Q29" s="14"/>
    </row>
    <row r="30" spans="17:17" x14ac:dyDescent="0.25">
      <c r="Q30" s="14"/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zoomScale="125" zoomScaleNormal="104" workbookViewId="0">
      <selection activeCell="H17" sqref="H17"/>
    </sheetView>
  </sheetViews>
  <sheetFormatPr defaultRowHeight="14" x14ac:dyDescent="0.25"/>
  <cols>
    <col min="1" max="1" width="9.1796875" customWidth="1"/>
    <col min="3" max="3" width="9.81640625" customWidth="1"/>
    <col min="4" max="4" width="16.453125" customWidth="1"/>
    <col min="5" max="5" width="10.08984375" customWidth="1"/>
    <col min="6" max="6" width="13.54296875" bestFit="1" customWidth="1"/>
    <col min="8" max="8" width="13.08984375" bestFit="1" customWidth="1"/>
  </cols>
  <sheetData>
    <row r="1" spans="1:13" ht="17.399999999999999" customHeight="1" x14ac:dyDescent="0.25">
      <c r="J1" t="s">
        <v>42</v>
      </c>
      <c r="K1" t="s">
        <v>41</v>
      </c>
      <c r="L1" t="s">
        <v>40</v>
      </c>
      <c r="M1" t="s">
        <v>39</v>
      </c>
    </row>
    <row r="2" spans="1:13" x14ac:dyDescent="0.25">
      <c r="A2" t="s">
        <v>38</v>
      </c>
      <c r="B2" t="s">
        <v>36</v>
      </c>
      <c r="C2" t="s">
        <v>35</v>
      </c>
      <c r="E2" s="10" t="s">
        <v>22</v>
      </c>
      <c r="F2" t="s">
        <v>23</v>
      </c>
      <c r="J2">
        <v>0</v>
      </c>
      <c r="K2">
        <f>E3</f>
        <v>280</v>
      </c>
      <c r="L2">
        <v>0</v>
      </c>
      <c r="M2">
        <f>E14</f>
        <v>330</v>
      </c>
    </row>
    <row r="3" spans="1:13" x14ac:dyDescent="0.25">
      <c r="A3" t="s">
        <v>52</v>
      </c>
      <c r="B3">
        <v>1000</v>
      </c>
      <c r="C3">
        <v>295</v>
      </c>
      <c r="E3" s="9">
        <v>280</v>
      </c>
      <c r="F3" s="1">
        <v>2000</v>
      </c>
      <c r="J3">
        <f>GETPIVOTDATA("电量",$E$2,"电价",280)</f>
        <v>2000</v>
      </c>
      <c r="K3">
        <f>K2</f>
        <v>280</v>
      </c>
      <c r="L3">
        <f>GETPIVOTDATA("电量",$E$13,"电价",330)</f>
        <v>600</v>
      </c>
      <c r="M3">
        <f>M2</f>
        <v>330</v>
      </c>
    </row>
    <row r="4" spans="1:13" x14ac:dyDescent="0.25">
      <c r="A4" t="s">
        <v>44</v>
      </c>
      <c r="B4">
        <v>1000</v>
      </c>
      <c r="C4">
        <v>315</v>
      </c>
      <c r="E4" s="9">
        <v>285</v>
      </c>
      <c r="F4" s="1">
        <v>800</v>
      </c>
      <c r="J4">
        <f>J3+J2</f>
        <v>2000</v>
      </c>
      <c r="K4">
        <f>E4</f>
        <v>285</v>
      </c>
      <c r="L4">
        <f>L3</f>
        <v>600</v>
      </c>
      <c r="M4">
        <f>E15</f>
        <v>317</v>
      </c>
    </row>
    <row r="5" spans="1:13" x14ac:dyDescent="0.25">
      <c r="A5" t="s">
        <v>45</v>
      </c>
      <c r="B5">
        <v>800</v>
      </c>
      <c r="C5">
        <v>285</v>
      </c>
      <c r="E5" s="9">
        <v>295</v>
      </c>
      <c r="F5" s="1">
        <v>1000</v>
      </c>
      <c r="J5">
        <f>GETPIVOTDATA("电量",$E$2,"电价",285)+J4</f>
        <v>2800</v>
      </c>
      <c r="K5">
        <f>K4</f>
        <v>285</v>
      </c>
      <c r="L5">
        <f>GETPIVOTDATA("电量",$E$13,"电价",317)+L4</f>
        <v>3100</v>
      </c>
      <c r="M5">
        <f>M4</f>
        <v>317</v>
      </c>
    </row>
    <row r="6" spans="1:13" x14ac:dyDescent="0.25">
      <c r="A6" t="s">
        <v>46</v>
      </c>
      <c r="B6">
        <v>2000</v>
      </c>
      <c r="C6">
        <v>280</v>
      </c>
      <c r="E6" s="9">
        <v>302</v>
      </c>
      <c r="F6" s="1">
        <v>1300</v>
      </c>
      <c r="J6" s="8">
        <f>J5</f>
        <v>2800</v>
      </c>
      <c r="K6">
        <f>E5</f>
        <v>295</v>
      </c>
      <c r="L6">
        <f>L5</f>
        <v>3100</v>
      </c>
      <c r="M6">
        <f>E16</f>
        <v>316</v>
      </c>
    </row>
    <row r="7" spans="1:13" x14ac:dyDescent="0.25">
      <c r="A7" t="s">
        <v>47</v>
      </c>
      <c r="B7">
        <v>500</v>
      </c>
      <c r="C7">
        <v>320</v>
      </c>
      <c r="E7" s="9">
        <v>305</v>
      </c>
      <c r="F7" s="1">
        <v>1300</v>
      </c>
      <c r="J7" s="8">
        <f>GETPIVOTDATA("电量",$E$2,"电价",295)+J6</f>
        <v>3800</v>
      </c>
      <c r="K7">
        <f>K6</f>
        <v>295</v>
      </c>
      <c r="L7">
        <f>L6+GETPIVOTDATA("电量",$E$13,"电价",316)</f>
        <v>4100</v>
      </c>
      <c r="M7">
        <f>M6</f>
        <v>316</v>
      </c>
    </row>
    <row r="8" spans="1:13" x14ac:dyDescent="0.25">
      <c r="A8" t="s">
        <v>48</v>
      </c>
      <c r="B8">
        <v>1300</v>
      </c>
      <c r="C8">
        <v>305</v>
      </c>
      <c r="E8" s="9">
        <v>315</v>
      </c>
      <c r="F8" s="1">
        <v>3000</v>
      </c>
      <c r="J8">
        <f>J7</f>
        <v>3800</v>
      </c>
      <c r="K8">
        <f>E6</f>
        <v>302</v>
      </c>
      <c r="L8">
        <f>L7</f>
        <v>4100</v>
      </c>
      <c r="M8">
        <f>E17</f>
        <v>315</v>
      </c>
    </row>
    <row r="9" spans="1:13" x14ac:dyDescent="0.25">
      <c r="A9" t="s">
        <v>49</v>
      </c>
      <c r="B9">
        <v>1000</v>
      </c>
      <c r="C9">
        <v>330</v>
      </c>
      <c r="E9" s="9">
        <v>320</v>
      </c>
      <c r="F9" s="1">
        <v>500</v>
      </c>
      <c r="J9">
        <f>GETPIVOTDATA("电量",$E$2,"电价",302)+J8</f>
        <v>5100</v>
      </c>
      <c r="K9">
        <f>K8</f>
        <v>302</v>
      </c>
      <c r="L9">
        <f>GETPIVOTDATA("电量",$E$13,"电价",315)+L8</f>
        <v>4800</v>
      </c>
      <c r="M9">
        <f>M8</f>
        <v>315</v>
      </c>
    </row>
    <row r="10" spans="1:13" x14ac:dyDescent="0.25">
      <c r="A10" t="s">
        <v>50</v>
      </c>
      <c r="B10">
        <v>2000</v>
      </c>
      <c r="C10">
        <v>315</v>
      </c>
      <c r="E10" s="9">
        <v>330</v>
      </c>
      <c r="F10" s="1">
        <v>1000</v>
      </c>
      <c r="J10">
        <f>J9</f>
        <v>5100</v>
      </c>
      <c r="K10">
        <f>E7</f>
        <v>305</v>
      </c>
      <c r="L10">
        <f>L9</f>
        <v>4800</v>
      </c>
      <c r="M10">
        <f>E18</f>
        <v>313</v>
      </c>
    </row>
    <row r="11" spans="1:13" x14ac:dyDescent="0.25">
      <c r="A11" t="s">
        <v>51</v>
      </c>
      <c r="B11">
        <v>1300</v>
      </c>
      <c r="C11">
        <v>302</v>
      </c>
      <c r="E11" s="9" t="s">
        <v>29</v>
      </c>
      <c r="F11" s="1">
        <v>10900</v>
      </c>
      <c r="J11">
        <f>GETPIVOTDATA("电量",$E$2,"电价",305)+J10</f>
        <v>6400</v>
      </c>
      <c r="K11">
        <f>E7</f>
        <v>305</v>
      </c>
      <c r="L11">
        <f>L10+GETPIVOTDATA("电量",$E$13,"电价",313)</f>
        <v>5300</v>
      </c>
      <c r="M11">
        <f>M10</f>
        <v>313</v>
      </c>
    </row>
    <row r="12" spans="1:13" ht="14.4" customHeight="1" x14ac:dyDescent="0.25">
      <c r="J12">
        <f>J11</f>
        <v>6400</v>
      </c>
      <c r="K12" s="8">
        <f>E8</f>
        <v>315</v>
      </c>
      <c r="L12">
        <f>L11</f>
        <v>5300</v>
      </c>
      <c r="M12">
        <f>E19</f>
        <v>312</v>
      </c>
    </row>
    <row r="13" spans="1:13" ht="14.4" customHeight="1" x14ac:dyDescent="0.25">
      <c r="A13" t="s">
        <v>37</v>
      </c>
      <c r="B13" t="s">
        <v>36</v>
      </c>
      <c r="C13" t="s">
        <v>35</v>
      </c>
      <c r="E13" s="10" t="s">
        <v>22</v>
      </c>
      <c r="F13" t="s">
        <v>23</v>
      </c>
      <c r="J13">
        <f>GETPIVOTDATA("电量",$E$2,"电价",315)+J12</f>
        <v>9400</v>
      </c>
      <c r="K13">
        <f>K12</f>
        <v>315</v>
      </c>
      <c r="L13">
        <f>L12+GETPIVOTDATA("电量",$E$13,"电价",312)</f>
        <v>6100</v>
      </c>
      <c r="M13">
        <f>M12</f>
        <v>312</v>
      </c>
    </row>
    <row r="14" spans="1:13" ht="14.4" customHeight="1" x14ac:dyDescent="0.25">
      <c r="A14" t="s">
        <v>11</v>
      </c>
      <c r="B14">
        <v>700</v>
      </c>
      <c r="C14">
        <v>315</v>
      </c>
      <c r="E14" s="9">
        <v>330</v>
      </c>
      <c r="F14" s="1">
        <v>600</v>
      </c>
      <c r="I14" s="8"/>
      <c r="J14">
        <f>J13</f>
        <v>9400</v>
      </c>
      <c r="K14" s="8">
        <f>E9</f>
        <v>320</v>
      </c>
      <c r="L14">
        <f>L13</f>
        <v>6100</v>
      </c>
      <c r="M14">
        <f>E20</f>
        <v>310</v>
      </c>
    </row>
    <row r="15" spans="1:13" x14ac:dyDescent="0.25">
      <c r="A15" t="s">
        <v>53</v>
      </c>
      <c r="B15">
        <v>1200</v>
      </c>
      <c r="C15">
        <v>317</v>
      </c>
      <c r="E15" s="9">
        <v>317</v>
      </c>
      <c r="F15" s="1">
        <v>2500</v>
      </c>
      <c r="I15" s="8"/>
      <c r="J15">
        <f>GETPIVOTDATA("电量",$E$2,"电价",320)+J14</f>
        <v>9900</v>
      </c>
      <c r="K15" s="8">
        <f>E9</f>
        <v>320</v>
      </c>
      <c r="L15">
        <f>L14+GETPIVOTDATA("电量",$E$13,"电价",310)</f>
        <v>8100</v>
      </c>
      <c r="M15">
        <f>M14</f>
        <v>310</v>
      </c>
    </row>
    <row r="16" spans="1:13" x14ac:dyDescent="0.25">
      <c r="A16" t="s">
        <v>54</v>
      </c>
      <c r="B16">
        <v>500</v>
      </c>
      <c r="C16">
        <v>313</v>
      </c>
      <c r="E16" s="9">
        <v>316</v>
      </c>
      <c r="F16" s="1">
        <v>1000</v>
      </c>
      <c r="I16" s="8"/>
      <c r="J16">
        <f>J15</f>
        <v>9900</v>
      </c>
      <c r="K16" s="8">
        <f>E10</f>
        <v>330</v>
      </c>
      <c r="L16">
        <f>L15</f>
        <v>8100</v>
      </c>
      <c r="M16">
        <f>E21</f>
        <v>296</v>
      </c>
    </row>
    <row r="17" spans="1:13" x14ac:dyDescent="0.25">
      <c r="A17" t="s">
        <v>55</v>
      </c>
      <c r="B17">
        <v>2000</v>
      </c>
      <c r="C17">
        <v>310</v>
      </c>
      <c r="E17" s="9">
        <v>315</v>
      </c>
      <c r="F17" s="1">
        <v>700</v>
      </c>
      <c r="I17" s="8"/>
      <c r="J17">
        <f>GETPIVOTDATA("电量",$E$2,"电价",330)+J16</f>
        <v>10900</v>
      </c>
      <c r="K17">
        <f>K16</f>
        <v>330</v>
      </c>
      <c r="L17">
        <f>GETPIVOTDATA("电量",$E$13,"电价",296)+L16</f>
        <v>9400</v>
      </c>
      <c r="M17">
        <f>M16</f>
        <v>296</v>
      </c>
    </row>
    <row r="18" spans="1:13" x14ac:dyDescent="0.25">
      <c r="A18" t="s">
        <v>56</v>
      </c>
      <c r="B18">
        <v>1300</v>
      </c>
      <c r="C18">
        <v>296</v>
      </c>
      <c r="E18" s="9">
        <v>313</v>
      </c>
      <c r="F18" s="1">
        <v>500</v>
      </c>
      <c r="I18" s="8"/>
    </row>
    <row r="19" spans="1:13" x14ac:dyDescent="0.25">
      <c r="A19" t="s">
        <v>57</v>
      </c>
      <c r="B19">
        <v>800</v>
      </c>
      <c r="C19">
        <v>312</v>
      </c>
      <c r="E19" s="9">
        <v>312</v>
      </c>
      <c r="F19" s="1">
        <v>800</v>
      </c>
      <c r="I19" s="8"/>
    </row>
    <row r="20" spans="1:13" x14ac:dyDescent="0.25">
      <c r="A20" t="s">
        <v>58</v>
      </c>
      <c r="B20">
        <v>1000</v>
      </c>
      <c r="C20">
        <v>316</v>
      </c>
      <c r="E20" s="9">
        <v>310</v>
      </c>
      <c r="F20" s="1">
        <v>2000</v>
      </c>
      <c r="I20" s="8"/>
    </row>
    <row r="21" spans="1:13" x14ac:dyDescent="0.25">
      <c r="A21" t="s">
        <v>59</v>
      </c>
      <c r="B21">
        <v>600</v>
      </c>
      <c r="C21">
        <v>330</v>
      </c>
      <c r="E21" s="9">
        <v>296</v>
      </c>
      <c r="F21" s="1">
        <v>1300</v>
      </c>
      <c r="I21" s="8"/>
    </row>
    <row r="22" spans="1:13" x14ac:dyDescent="0.25">
      <c r="A22" t="s">
        <v>60</v>
      </c>
      <c r="B22">
        <v>1300</v>
      </c>
      <c r="C22">
        <v>317</v>
      </c>
      <c r="E22" s="9" t="s">
        <v>29</v>
      </c>
      <c r="F22" s="1">
        <v>9400</v>
      </c>
      <c r="I22" s="8"/>
    </row>
    <row r="23" spans="1:13" x14ac:dyDescent="0.25">
      <c r="D23" s="1"/>
      <c r="I23" s="8"/>
    </row>
    <row r="24" spans="1:13" x14ac:dyDescent="0.25">
      <c r="D24" s="1"/>
      <c r="I24" s="8"/>
    </row>
    <row r="25" spans="1:13" x14ac:dyDescent="0.25">
      <c r="D25" s="1"/>
    </row>
    <row r="26" spans="1:13" x14ac:dyDescent="0.25">
      <c r="D26" s="1"/>
    </row>
    <row r="27" spans="1:13" x14ac:dyDescent="0.25">
      <c r="D27" s="1"/>
    </row>
    <row r="28" spans="1:13" x14ac:dyDescent="0.25">
      <c r="D28" s="1"/>
    </row>
    <row r="29" spans="1:13" x14ac:dyDescent="0.25">
      <c r="C29" s="9"/>
      <c r="D29" s="1"/>
    </row>
    <row r="30" spans="1:13" x14ac:dyDescent="0.25">
      <c r="C30" s="9"/>
      <c r="D30" s="1"/>
    </row>
  </sheetData>
  <phoneticPr fontId="1" type="noConversion"/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4:R18"/>
  <sheetViews>
    <sheetView tabSelected="1" topLeftCell="A4" zoomScale="99" workbookViewId="0">
      <selection activeCell="Q12" sqref="Q12:R13"/>
    </sheetView>
  </sheetViews>
  <sheetFormatPr defaultRowHeight="14" x14ac:dyDescent="0.25"/>
  <cols>
    <col min="1" max="1" width="8.81640625" customWidth="1"/>
    <col min="17" max="17" width="17.1796875" customWidth="1"/>
    <col min="18" max="18" width="16.36328125" customWidth="1"/>
  </cols>
  <sheetData>
    <row r="4" spans="17:18" ht="14.4" customHeight="1" x14ac:dyDescent="0.25"/>
    <row r="7" spans="17:18" ht="14.4" customHeight="1" x14ac:dyDescent="0.25"/>
    <row r="11" spans="17:18" ht="14.4" customHeight="1" x14ac:dyDescent="0.25"/>
    <row r="12" spans="17:18" ht="25.5" x14ac:dyDescent="0.45">
      <c r="Q12" s="28" t="s">
        <v>66</v>
      </c>
      <c r="R12" s="29">
        <v>6400</v>
      </c>
    </row>
    <row r="13" spans="17:18" ht="25.5" x14ac:dyDescent="0.45">
      <c r="Q13" s="29" t="s">
        <v>67</v>
      </c>
      <c r="R13" s="29">
        <v>307.5</v>
      </c>
    </row>
    <row r="16" spans="17:18" ht="14.4" customHeight="1" x14ac:dyDescent="0.25"/>
    <row r="18" ht="14.4" customHeight="1" x14ac:dyDescent="0.25"/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报价</vt:lpstr>
      <vt:lpstr>价差报价模拟</vt:lpstr>
      <vt:lpstr>价差竞价曲线</vt:lpstr>
      <vt:lpstr>价格报价模拟</vt:lpstr>
      <vt:lpstr>竞价曲线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2017-10-21T03:58:05Z</dcterms:modified>
</cp:coreProperties>
</file>